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defaultThemeVersion="166925"/>
  <mc:AlternateContent xmlns:mc="http://schemas.openxmlformats.org/markup-compatibility/2006">
    <mc:Choice Requires="x15">
      <x15ac:absPath xmlns:x15ac="http://schemas.microsoft.com/office/spreadsheetml/2010/11/ac" url="/Users/yorambauman/Documents/CarbonUT/"/>
    </mc:Choice>
  </mc:AlternateContent>
  <xr:revisionPtr revIDLastSave="0" documentId="8_{6EA8EFE3-A7BA-6243-AA58-18DF273CBB53}" xr6:coauthVersionLast="36" xr6:coauthVersionMax="36" xr10:uidLastSave="{00000000-0000-0000-0000-000000000000}"/>
  <bookViews>
    <workbookView xWindow="0" yWindow="460" windowWidth="28800" windowHeight="17540" xr2:uid="{E0A53290-D269-E340-9B3D-117930ACA7BF}"/>
  </bookViews>
  <sheets>
    <sheet name="Residential" sheetId="1"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82" i="1" l="1"/>
  <c r="B183" i="1"/>
  <c r="B184" i="1"/>
  <c r="B185" i="1"/>
  <c r="B186" i="1"/>
  <c r="A75" i="1"/>
  <c r="A79" i="1" s="1"/>
  <c r="A82" i="1" s="1"/>
  <c r="A90" i="1" s="1"/>
  <c r="A26" i="1"/>
  <c r="A28" i="1" s="1"/>
  <c r="A32" i="1" s="1"/>
  <c r="A81" i="1" l="1"/>
  <c r="A86" i="1" s="1"/>
  <c r="A92" i="1" s="1"/>
  <c r="A100" i="1" s="1"/>
  <c r="A186" i="1" s="1"/>
  <c r="A155" i="1"/>
  <c r="A97" i="1" l="1"/>
  <c r="A183" i="1" s="1"/>
  <c r="B181" i="1" l="1"/>
  <c r="E170" i="1"/>
  <c r="D170" i="1"/>
  <c r="C170" i="1"/>
  <c r="E168" i="1"/>
  <c r="D168" i="1"/>
  <c r="C168" i="1"/>
  <c r="A126" i="1"/>
  <c r="L117" i="1"/>
  <c r="K117" i="1"/>
  <c r="J117" i="1"/>
  <c r="I117" i="1"/>
  <c r="H117" i="1"/>
  <c r="G117" i="1"/>
  <c r="F117" i="1"/>
  <c r="E117" i="1"/>
  <c r="D117" i="1"/>
  <c r="A121" i="1"/>
  <c r="A119" i="1"/>
  <c r="L116" i="1"/>
  <c r="A124" i="1" s="1"/>
  <c r="A130" i="1" s="1"/>
  <c r="K116" i="1"/>
  <c r="J116" i="1"/>
  <c r="I116" i="1"/>
  <c r="H116" i="1"/>
  <c r="G116" i="1"/>
  <c r="F116" i="1"/>
  <c r="E116" i="1"/>
  <c r="D116" i="1"/>
  <c r="A134" i="1" l="1"/>
  <c r="A176" i="1" s="1"/>
  <c r="F149" i="1"/>
  <c r="E149" i="1"/>
  <c r="D149" i="1"/>
  <c r="C149" i="1"/>
  <c r="A177" i="1"/>
  <c r="A12" i="1"/>
  <c r="A14" i="1" s="1"/>
  <c r="A52" i="1"/>
  <c r="A54" i="1" s="1"/>
  <c r="A60" i="1" s="1"/>
  <c r="A65" i="1" s="1"/>
  <c r="A58" i="1" l="1"/>
  <c r="A61" i="1" s="1"/>
  <c r="A69" i="1" s="1"/>
  <c r="A168" i="1"/>
  <c r="A170" i="1"/>
  <c r="A40" i="1"/>
  <c r="A44" i="1" s="1"/>
  <c r="A98" i="1" s="1"/>
  <c r="A184" i="1" s="1"/>
  <c r="A18" i="1"/>
  <c r="A96" i="1" s="1"/>
  <c r="A182" i="1" s="1"/>
  <c r="A172" i="1" l="1"/>
  <c r="A178" i="1" s="1"/>
  <c r="A175" i="1" l="1"/>
  <c r="A71" i="1"/>
  <c r="A99" i="1" s="1"/>
  <c r="A185" i="1" s="1"/>
  <c r="A95" i="1" l="1"/>
  <c r="A181" i="1" s="1"/>
  <c r="A189" i="1" s="1"/>
</calcChain>
</file>

<file path=xl/sharedStrings.xml><?xml version="1.0" encoding="utf-8"?>
<sst xmlns="http://schemas.openxmlformats.org/spreadsheetml/2006/main" count="169" uniqueCount="135">
  <si>
    <t>miles per gallon</t>
  </si>
  <si>
    <t>How many miles does your household fly for personal reasons per year, taking off from airports in Utah? Remember to add up the miles for each person (not including lap infants). Example: The Smiths, a family of 3, flew from SLC to NYC, which is 2000 miles; so 3 people x 2000 miles = 6000.</t>
  </si>
  <si>
    <t>gallons per year</t>
  </si>
  <si>
    <t>Average jet airplane fuel economy per passenger is</t>
  </si>
  <si>
    <t>Estimated jet fuel consumption subject to carbon tax</t>
  </si>
  <si>
    <t>square feet</t>
  </si>
  <si>
    <t>cents per ccf</t>
  </si>
  <si>
    <t>ccf per year</t>
  </si>
  <si>
    <t>Estimated thousand btu per square foot</t>
  </si>
  <si>
    <t>btu per square foot</t>
  </si>
  <si>
    <t>https://www.eia.gov/consumption/residential/data/2015/c&amp;e/pdf/ce1.1.pdf</t>
  </si>
  <si>
    <t>Estimated million btu per year</t>
  </si>
  <si>
    <t>mmbtu per year</t>
  </si>
  <si>
    <t>https://www.eia.gov/tools/faqs/faq.php?id=45&amp;t=7</t>
  </si>
  <si>
    <t>Estimated gasoline consumption (based on mileage)</t>
  </si>
  <si>
    <t>Carbon tax rate</t>
  </si>
  <si>
    <t>cents per gallon motor gasoline</t>
  </si>
  <si>
    <t>cents per gallon jet fuel</t>
  </si>
  <si>
    <t>Estimated electricity consumption (based on square footage)</t>
  </si>
  <si>
    <t>https://www.eia.gov/consumption/residential/data/2015/c&amp;e/pdf/ce2.1.pdf</t>
  </si>
  <si>
    <t>Estimated for Rocky Mt Power fuel mix (62% coal, 15% natural gas)</t>
  </si>
  <si>
    <t>http://www.pacificorp.com/content/dam/pacificorp/doc/CCCom_Update/2016/May_2016/RMP-FactSheet-2016-v6.pdf</t>
  </si>
  <si>
    <t>Eyeballed fit based on:</t>
  </si>
  <si>
    <t>https://www.eia.gov/electricity/data/state/annual_generation_state.xls</t>
  </si>
  <si>
    <t>https://www.eia.gov/electricity/data/state/emission_annual.xls</t>
  </si>
  <si>
    <t>https://www.eia.gov/dnav/ng/NG_PRI_SUM_DCU_SUT_A.htm</t>
  </si>
  <si>
    <t>Estimated expenditure based on consumption</t>
  </si>
  <si>
    <t>Married filing jointly</t>
  </si>
  <si>
    <t>Other (single, etc)</t>
  </si>
  <si>
    <t>1 Child</t>
  </si>
  <si>
    <t>2 Children</t>
  </si>
  <si>
    <t>3+ Children</t>
  </si>
  <si>
    <t>No Children</t>
  </si>
  <si>
    <t>https://www.irs.gov/credits-deductions/individuals/earned-income-tax-credit/eitc-income-limits-maximum-credit-amounts-next-year</t>
  </si>
  <si>
    <t>What is your tax filing status?</t>
  </si>
  <si>
    <t>Choices are:</t>
  </si>
  <si>
    <t>Married filing separately</t>
  </si>
  <si>
    <t>Single</t>
  </si>
  <si>
    <t>What is your Utah modified Adjusted Gross Income?</t>
  </si>
  <si>
    <t>Married filing jointly or head of household</t>
  </si>
  <si>
    <t xml:space="preserve">Your CURRENT Retirement Tax Credit amount is: </t>
  </si>
  <si>
    <t xml:space="preserve">Your NEW Retirement Tax Credit amount is: </t>
  </si>
  <si>
    <t>Your ADDITIONAL Retirement Tax Credit amount is:</t>
  </si>
  <si>
    <t>What is your household's average gas mileage?</t>
  </si>
  <si>
    <t>How many square feet is your home?</t>
  </si>
  <si>
    <t>miles per year</t>
  </si>
  <si>
    <t>State sales tax savings</t>
  </si>
  <si>
    <t xml:space="preserve">If your income is below these limits, you may qualify, so check your federal tax return or use the calculator tool at the following website: </t>
  </si>
  <si>
    <t xml:space="preserve">If you are not sure, here are some details: The federal Earned Income Tax Credit is a refundable tax credit for low-income working families. The amount of the credit depends on your income and your household structure. Your household DOES NOT quality if your 2019 income is above the limits below: </t>
  </si>
  <si>
    <t>Maximum federal credit</t>
  </si>
  <si>
    <t>The maximum federal credit and Utah credit are as follows</t>
  </si>
  <si>
    <t>Household size</t>
  </si>
  <si>
    <t>Household income (before taxes)</t>
  </si>
  <si>
    <t>5+</t>
  </si>
  <si>
    <t>...but those households have an average income of...</t>
  </si>
  <si>
    <t>https://www.bls.gov/cex/tables.htm#annual</t>
  </si>
  <si>
    <t>Avg. income before taxes</t>
  </si>
  <si>
    <t>Income decile</t>
  </si>
  <si>
    <t>Lower limit of income</t>
  </si>
  <si>
    <t>Mean of income</t>
  </si>
  <si>
    <t>Average number of people</t>
  </si>
  <si>
    <t>Spending on food at home</t>
  </si>
  <si>
    <t>...so you might want to adjust that amount of grocery store spending accordingly.</t>
  </si>
  <si>
    <t>Households of your SIZE spend an amount on grocery store food per year that averages...</t>
  </si>
  <si>
    <t>Similarly, households with your INCOME spent an amount on grocery store food that averages...</t>
  </si>
  <si>
    <t>Food change per $ above mean</t>
  </si>
  <si>
    <t>People change per $ above mean</t>
  </si>
  <si>
    <t>...but those households have an average household size of...</t>
  </si>
  <si>
    <t>Only edit the YELLOW highlighted areas!</t>
  </si>
  <si>
    <t xml:space="preserve">Next let's do tax savings, but first a summary: </t>
  </si>
  <si>
    <t>Gasoline</t>
  </si>
  <si>
    <t>Jet fuel</t>
  </si>
  <si>
    <t>Natural gas</t>
  </si>
  <si>
    <t>Electricity</t>
  </si>
  <si>
    <t>If you know your federal EITC amount (or know that you are not eligible), skip to the bottom of this section.</t>
  </si>
  <si>
    <t>Federal EITC amount</t>
  </si>
  <si>
    <t>Ultimately, your Utah EITC match depends on your federal EITC amount, so check your federal tax return or otherwise determine your federal EITC and enter it below.</t>
  </si>
  <si>
    <t xml:space="preserve">https://www.cbpp.org/research/federal-tax/policy-basics-the-earned-income-tax-credit </t>
  </si>
  <si>
    <t>How many people in your household (and on your tax return) are 65 years or older?</t>
  </si>
  <si>
    <t>If you know that your household is not eligible for a Retirement Tax Credit (e.g., no members 65 or over, or income over $84,000), skip to the bottom of this section. Otherwise you may qualify for an expanded Retirement Tax Credit.</t>
  </si>
  <si>
    <t>Let's summarize:</t>
  </si>
  <si>
    <t>Eliminate state sales tax on grocery store food</t>
  </si>
  <si>
    <t>10% match of federal EITC</t>
  </si>
  <si>
    <t>Expanded Retirement Tax Credit</t>
  </si>
  <si>
    <t>You must enter EXACTLY one of these 3 choices:</t>
  </si>
  <si>
    <t>Total savings</t>
  </si>
  <si>
    <t>Total carbon tax payments</t>
  </si>
  <si>
    <t xml:space="preserve">How many of those over-65s were born on or before Dec 31, 1952? </t>
  </si>
  <si>
    <t xml:space="preserve">Given this information, we can use an average of the two numbers in bold (above) to get an estimate (in yellow, below) of your household's grocery store expenditures. If you have a better number to use please enter it in the yellow box below! </t>
  </si>
  <si>
    <t>For 5 or more people, please enter "5+".</t>
  </si>
  <si>
    <t>Key instructions and notes are in GREEN.</t>
  </si>
  <si>
    <t>Maximum 10% Utah credit</t>
  </si>
  <si>
    <t>Carbon Tax Calculator for Households</t>
  </si>
  <si>
    <t>cents per gallon on-road diesel</t>
  </si>
  <si>
    <t>3. Jet fuel</t>
  </si>
  <si>
    <t>4. Natural gas</t>
  </si>
  <si>
    <t>5. Electricity</t>
  </si>
  <si>
    <t>On-road diesel</t>
  </si>
  <si>
    <t>6. Eliminate state sales tax on food</t>
  </si>
  <si>
    <t>2. On-road diesel</t>
  </si>
  <si>
    <t>kWh</t>
  </si>
  <si>
    <t>Carbon tax per kWh of electricty</t>
  </si>
  <si>
    <t>cents per kWh</t>
  </si>
  <si>
    <t>https://www.eia.gov/electricity/annual/html/epa_02_10.html</t>
  </si>
  <si>
    <t>How many miles does your household drive in Utah per year in on-road diesel vehicles?</t>
  </si>
  <si>
    <t>Carbon tax for on-road diesel</t>
  </si>
  <si>
    <t xml:space="preserve">Carbon tax for motor gasoline </t>
  </si>
  <si>
    <t>Carbon tax for jet fuel</t>
  </si>
  <si>
    <t>Carbon tax for natural gas</t>
  </si>
  <si>
    <t>Carbon tax for electricity</t>
  </si>
  <si>
    <t>State sales tax rate on grocery store food</t>
  </si>
  <si>
    <t>State sales tax rate on electricity and home heating fuels for residential customers</t>
  </si>
  <si>
    <t>Note: "Married filing separately" and "Single" should list no more than 1 person 65 years or older in the previous questions!</t>
  </si>
  <si>
    <t>Estimated natural gas consumption (based on square footage)</t>
  </si>
  <si>
    <t>per mcf (10 ccf)</t>
  </si>
  <si>
    <t>How much does your household spend on grocery store food per year?</t>
  </si>
  <si>
    <t>Utah 20% EITC match</t>
  </si>
  <si>
    <t>1. Motor gasoline (not including diesel)</t>
  </si>
  <si>
    <t>If you have a better estimate of how many gallons of gasoline your households buys in Utah per year, enter it here:</t>
  </si>
  <si>
    <t>How many miles does your household drive in Utah per year in gas-powered vehicles?</t>
  </si>
  <si>
    <t>What is your household's average diesel mileage?</t>
  </si>
  <si>
    <t>If you have a better estimate of how many gallons of on-road dieesel fuel your households buys in Utah per year, enter it here:</t>
  </si>
  <si>
    <t>Average residential price for Utah in 2017</t>
  </si>
  <si>
    <t xml:space="preserve">If you have a better estimate of how much natural gas your household consumes in Utah per year, or how much it costs, please edit one or both of those figures below. Note that you may have data in therms or in dekatherms (Dth) rather than ccf. Since one therm is very close to one ccf, if you have data in therms then you can just use that. (If you want to be exact, divide the number of therms by 0.964 to get ccfs.) And since a dekatherm (Dth) is ten therms, if you have data in dekatherms then divide by 10 (or, to be exact, by 9.64) to get ccfs. </t>
  </si>
  <si>
    <t>Net impact on natural gas expenditures</t>
  </si>
  <si>
    <r>
      <t xml:space="preserve">If you have a better estimate of how much electricity your household consumes in Utah per year, or how much it costs, please edit one or both of those figures below. If you have rooftop solar then you'll need to calculate your </t>
    </r>
    <r>
      <rPr>
        <b/>
        <sz val="12"/>
        <color theme="1"/>
        <rFont val="Calibri"/>
        <family val="2"/>
        <scheme val="minor"/>
      </rPr>
      <t>net</t>
    </r>
    <r>
      <rPr>
        <sz val="12"/>
        <color theme="1"/>
        <rFont val="Calibri"/>
        <family val="2"/>
        <scheme val="minor"/>
      </rPr>
      <t xml:space="preserve"> amount of electricity consumption: take total consumption and subtract the amount that comes from your rooftop solar to get the amount that "comes from the grid".</t>
    </r>
  </si>
  <si>
    <t>spending per year</t>
  </si>
  <si>
    <t>Net impact on electricity expenditures</t>
  </si>
  <si>
    <t>person(s)</t>
  </si>
  <si>
    <t>Gain (loss) overall</t>
  </si>
  <si>
    <t>Compare with carbon tax:</t>
  </si>
  <si>
    <t>7. Earned Income Tax Credit 20% match</t>
  </si>
  <si>
    <t>8. Retirement Tax Credit</t>
  </si>
  <si>
    <t>9. Your bottom line</t>
  </si>
  <si>
    <t>Estimated diesel consumption (based on mileage)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</si>
</sst>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_(* #,##0_);_(* \(#,##0\);_(* &quot;-&quot;??_);_(@_)"/>
    <numFmt numFmtId="165" formatCode="_(* #,##0.0_);_(* \(#,##0.0\);_(* &quot;-&quot;??_);_(@_)"/>
    <numFmt numFmtId="166" formatCode="_(&quot;$&quot;* #,##0_);_(&quot;$&quot;* \(#,##0\);_(&quot;$&quot;* &quot;-&quot;??_);_(@_)"/>
    <numFmt numFmtId="167" formatCode="_(&quot;$&quot;* #,##0.000_);_(&quot;$&quot;* \(#,##0.000\);_(&quot;$&quot;* &quot;-&quot;??_);_(@_)"/>
    <numFmt numFmtId="168" formatCode="0.000000"/>
    <numFmt numFmtId="169" formatCode="0.0"/>
  </numFmts>
  <fonts count="7" x14ac:knownFonts="1">
    <font>
      <sz val="12"/>
      <color theme="1"/>
      <name val="Calibri"/>
      <family val="2"/>
      <scheme val="minor"/>
    </font>
    <font>
      <sz val="12"/>
      <color theme="1"/>
      <name val="Calibri"/>
      <family val="2"/>
      <scheme val="minor"/>
    </font>
    <font>
      <b/>
      <sz val="12"/>
      <color theme="1"/>
      <name val="Calibri"/>
      <family val="2"/>
      <scheme val="minor"/>
    </font>
    <font>
      <sz val="12"/>
      <color rgb="FFFF0000"/>
      <name val="Calibri"/>
      <family val="2"/>
      <scheme val="minor"/>
    </font>
    <font>
      <u/>
      <sz val="12"/>
      <color theme="10"/>
      <name val="Calibri"/>
      <family val="2"/>
      <scheme val="minor"/>
    </font>
    <font>
      <sz val="12"/>
      <color rgb="FF000000"/>
      <name val="Calibri"/>
      <family val="2"/>
      <scheme val="minor"/>
    </font>
    <font>
      <b/>
      <sz val="12"/>
      <color rgb="FFFF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s>
  <borders count="1">
    <border>
      <left/>
      <right/>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4" fillId="0" borderId="0" applyNumberFormat="0" applyFill="0" applyBorder="0" applyAlignment="0" applyProtection="0"/>
  </cellStyleXfs>
  <cellXfs count="40">
    <xf numFmtId="0" fontId="0" fillId="0" borderId="0" xfId="0"/>
    <xf numFmtId="0" fontId="2" fillId="0" borderId="0" xfId="0" applyFont="1"/>
    <xf numFmtId="44" fontId="0" fillId="0" borderId="0" xfId="2" applyNumberFormat="1" applyFont="1"/>
    <xf numFmtId="164" fontId="0" fillId="0" borderId="0" xfId="1" applyNumberFormat="1" applyFont="1"/>
    <xf numFmtId="44" fontId="2" fillId="0" borderId="0" xfId="2" applyNumberFormat="1" applyFont="1"/>
    <xf numFmtId="0" fontId="5" fillId="0" borderId="0" xfId="0" applyFont="1"/>
    <xf numFmtId="164" fontId="0" fillId="2" borderId="0" xfId="1" applyNumberFormat="1" applyFont="1" applyFill="1"/>
    <xf numFmtId="165" fontId="0" fillId="0" borderId="0" xfId="1" applyNumberFormat="1" applyFont="1"/>
    <xf numFmtId="44" fontId="0" fillId="2" borderId="0" xfId="2" applyFont="1" applyFill="1"/>
    <xf numFmtId="166" fontId="0" fillId="2" borderId="0" xfId="2" applyNumberFormat="1" applyFont="1" applyFill="1"/>
    <xf numFmtId="44" fontId="0" fillId="0" borderId="0" xfId="2" applyFont="1"/>
    <xf numFmtId="2" fontId="0" fillId="0" borderId="0" xfId="2" applyNumberFormat="1" applyFont="1"/>
    <xf numFmtId="0" fontId="0" fillId="0" borderId="0" xfId="0" applyFont="1"/>
    <xf numFmtId="44" fontId="2" fillId="0" borderId="0" xfId="0" applyNumberFormat="1" applyFont="1"/>
    <xf numFmtId="167" fontId="0" fillId="0" borderId="0" xfId="2" applyNumberFormat="1" applyFont="1"/>
    <xf numFmtId="166" fontId="0" fillId="0" borderId="0" xfId="2" applyNumberFormat="1" applyFont="1"/>
    <xf numFmtId="166" fontId="0" fillId="0" borderId="0" xfId="2" applyNumberFormat="1" applyFont="1" applyAlignment="1">
      <alignment horizontal="right"/>
    </xf>
    <xf numFmtId="168" fontId="0" fillId="0" borderId="0" xfId="2" applyNumberFormat="1" applyFont="1"/>
    <xf numFmtId="0" fontId="2" fillId="3" borderId="0" xfId="0" applyFont="1" applyFill="1"/>
    <xf numFmtId="166" fontId="2" fillId="0" borderId="0" xfId="2" applyNumberFormat="1" applyFont="1"/>
    <xf numFmtId="166" fontId="2" fillId="0" borderId="0" xfId="0" applyNumberFormat="1" applyFont="1"/>
    <xf numFmtId="166" fontId="0" fillId="0" borderId="0" xfId="0" applyNumberFormat="1" applyFont="1"/>
    <xf numFmtId="0" fontId="6" fillId="0" borderId="0" xfId="0" applyFont="1"/>
    <xf numFmtId="0" fontId="3" fillId="0" borderId="0" xfId="0" applyFont="1"/>
    <xf numFmtId="0" fontId="0" fillId="3" borderId="0" xfId="0" applyFont="1" applyFill="1"/>
    <xf numFmtId="0" fontId="0" fillId="0" borderId="0" xfId="0" applyFont="1" applyFill="1"/>
    <xf numFmtId="44" fontId="0" fillId="3" borderId="0" xfId="2" applyNumberFormat="1" applyFont="1" applyFill="1"/>
    <xf numFmtId="0" fontId="0" fillId="2" borderId="0" xfId="0" applyFont="1" applyFill="1"/>
    <xf numFmtId="0" fontId="0" fillId="3" borderId="0" xfId="0" applyFont="1" applyFill="1" applyAlignment="1">
      <alignment horizontal="right"/>
    </xf>
    <xf numFmtId="0" fontId="0" fillId="0" borderId="0" xfId="0" applyFont="1" applyAlignment="1">
      <alignment horizontal="center"/>
    </xf>
    <xf numFmtId="169" fontId="0" fillId="0" borderId="0" xfId="0" applyNumberFormat="1" applyFont="1"/>
    <xf numFmtId="166" fontId="0" fillId="2" borderId="0" xfId="0" applyNumberFormat="1" applyFont="1" applyFill="1"/>
    <xf numFmtId="10" fontId="0" fillId="0" borderId="0" xfId="0" applyNumberFormat="1" applyFont="1"/>
    <xf numFmtId="44" fontId="0" fillId="0" borderId="0" xfId="0" applyNumberFormat="1" applyFont="1"/>
    <xf numFmtId="0" fontId="4" fillId="0" borderId="0" xfId="3" applyFont="1"/>
    <xf numFmtId="0" fontId="0" fillId="2" borderId="0" xfId="0" applyFont="1" applyFill="1" applyAlignment="1">
      <alignment wrapText="1"/>
    </xf>
    <xf numFmtId="0" fontId="0" fillId="3" borderId="0" xfId="0" applyFont="1" applyFill="1" applyAlignment="1">
      <alignment wrapText="1"/>
    </xf>
    <xf numFmtId="166" fontId="1" fillId="0" borderId="0" xfId="2" applyNumberFormat="1" applyFont="1"/>
    <xf numFmtId="0" fontId="0" fillId="3" borderId="0" xfId="0" applyFont="1" applyFill="1" applyAlignment="1">
      <alignment horizontal="left" wrapText="1"/>
    </xf>
    <xf numFmtId="0" fontId="0" fillId="0" borderId="0" xfId="0" applyFont="1" applyAlignment="1">
      <alignment horizontal="left" wrapText="1"/>
    </xf>
  </cellXfs>
  <cellStyles count="4">
    <cellStyle name="Comma" xfId="1" builtinId="3"/>
    <cellStyle name="Currency" xfId="2" builtinId="4"/>
    <cellStyle name="Hyperlink" xfId="3"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cbpp.org/research/federal-tax/policy-basics-the-earned-income-tax-cred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DF055-EB8E-CE45-854A-6A2209E2E901}">
  <dimension ref="A1:M189"/>
  <sheetViews>
    <sheetView tabSelected="1" zoomScale="200" zoomScaleNormal="200" workbookViewId="0">
      <selection activeCell="A8" sqref="A8"/>
    </sheetView>
  </sheetViews>
  <sheetFormatPr baseColWidth="10" defaultRowHeight="16" x14ac:dyDescent="0.2"/>
  <cols>
    <col min="1" max="1" width="12.6640625" style="12" bestFit="1" customWidth="1"/>
    <col min="2" max="2" width="16.83203125" style="12" customWidth="1"/>
    <col min="3" max="4" width="14.33203125" style="12" bestFit="1" customWidth="1"/>
    <col min="5" max="5" width="9.83203125" style="12" customWidth="1"/>
    <col min="6" max="6" width="10.33203125" style="12" customWidth="1"/>
    <col min="7" max="8" width="9.6640625" style="12" customWidth="1"/>
    <col min="9" max="9" width="9.5" style="12" customWidth="1"/>
    <col min="10" max="10" width="9" style="12" customWidth="1"/>
    <col min="11" max="11" width="8.6640625" style="12" customWidth="1"/>
    <col min="12" max="12" width="9.1640625" style="12" customWidth="1"/>
    <col min="13" max="14" width="9.5" style="12" customWidth="1"/>
    <col min="15" max="16384" width="10.83203125" style="12"/>
  </cols>
  <sheetData>
    <row r="1" spans="1:7" x14ac:dyDescent="0.2">
      <c r="A1" s="1" t="s">
        <v>92</v>
      </c>
    </row>
    <row r="3" spans="1:7" x14ac:dyDescent="0.2">
      <c r="A3" s="24" t="s">
        <v>68</v>
      </c>
      <c r="B3" s="24"/>
      <c r="C3" s="24"/>
    </row>
    <row r="4" spans="1:7" x14ac:dyDescent="0.2">
      <c r="A4" s="24" t="s">
        <v>90</v>
      </c>
      <c r="B4" s="24"/>
      <c r="C4" s="24"/>
    </row>
    <row r="5" spans="1:7" x14ac:dyDescent="0.2">
      <c r="A5" s="25"/>
      <c r="B5" s="25"/>
      <c r="C5" s="25"/>
    </row>
    <row r="6" spans="1:7" x14ac:dyDescent="0.2">
      <c r="A6" s="22" t="s">
        <v>117</v>
      </c>
      <c r="B6" s="23"/>
    </row>
    <row r="7" spans="1:7" x14ac:dyDescent="0.2">
      <c r="A7" s="12" t="s">
        <v>119</v>
      </c>
    </row>
    <row r="8" spans="1:7" x14ac:dyDescent="0.2">
      <c r="A8" s="6"/>
      <c r="B8" s="12" t="s">
        <v>45</v>
      </c>
    </row>
    <row r="9" spans="1:7" x14ac:dyDescent="0.2">
      <c r="A9" s="12" t="s">
        <v>43</v>
      </c>
    </row>
    <row r="10" spans="1:7" x14ac:dyDescent="0.2">
      <c r="A10" s="6">
        <v>30</v>
      </c>
      <c r="B10" s="12" t="s">
        <v>0</v>
      </c>
    </row>
    <row r="11" spans="1:7" x14ac:dyDescent="0.2">
      <c r="A11" s="12" t="s">
        <v>14</v>
      </c>
    </row>
    <row r="12" spans="1:7" x14ac:dyDescent="0.2">
      <c r="A12" s="3">
        <f>IF(A10=0,0,A8/A10)</f>
        <v>0</v>
      </c>
      <c r="B12" s="12" t="s">
        <v>2</v>
      </c>
    </row>
    <row r="13" spans="1:7" ht="32" customHeight="1" x14ac:dyDescent="0.2">
      <c r="A13" s="38" t="s">
        <v>118</v>
      </c>
      <c r="B13" s="38"/>
      <c r="C13" s="38"/>
      <c r="D13" s="38"/>
      <c r="E13" s="38"/>
      <c r="F13" s="38"/>
      <c r="G13" s="38"/>
    </row>
    <row r="14" spans="1:7" x14ac:dyDescent="0.2">
      <c r="A14" s="6">
        <f>A12</f>
        <v>0</v>
      </c>
      <c r="B14" s="12" t="s">
        <v>2</v>
      </c>
    </row>
    <row r="15" spans="1:7" x14ac:dyDescent="0.2">
      <c r="A15" s="12" t="s">
        <v>15</v>
      </c>
    </row>
    <row r="16" spans="1:7" x14ac:dyDescent="0.2">
      <c r="A16" s="12">
        <v>10.67</v>
      </c>
      <c r="B16" s="12" t="s">
        <v>16</v>
      </c>
    </row>
    <row r="17" spans="1:7" s="1" customFormat="1" x14ac:dyDescent="0.2">
      <c r="A17" s="1" t="s">
        <v>106</v>
      </c>
    </row>
    <row r="18" spans="1:7" s="1" customFormat="1" x14ac:dyDescent="0.2">
      <c r="A18" s="19">
        <f>A14*A16/100</f>
        <v>0</v>
      </c>
      <c r="D18" s="4"/>
    </row>
    <row r="20" spans="1:7" x14ac:dyDescent="0.2">
      <c r="A20" s="22" t="s">
        <v>99</v>
      </c>
      <c r="B20" s="23"/>
    </row>
    <row r="21" spans="1:7" x14ac:dyDescent="0.2">
      <c r="A21" s="12" t="s">
        <v>104</v>
      </c>
    </row>
    <row r="22" spans="1:7" x14ac:dyDescent="0.2">
      <c r="A22" s="6"/>
      <c r="B22" s="12" t="s">
        <v>45</v>
      </c>
    </row>
    <row r="23" spans="1:7" x14ac:dyDescent="0.2">
      <c r="A23" s="12" t="s">
        <v>120</v>
      </c>
    </row>
    <row r="24" spans="1:7" x14ac:dyDescent="0.2">
      <c r="A24" s="6">
        <v>22</v>
      </c>
      <c r="B24" s="12" t="s">
        <v>0</v>
      </c>
    </row>
    <row r="25" spans="1:7" x14ac:dyDescent="0.2">
      <c r="A25" s="12" t="s">
        <v>134</v>
      </c>
    </row>
    <row r="26" spans="1:7" x14ac:dyDescent="0.2">
      <c r="A26" s="3">
        <f>IF(A24=0,0,A22/A24)</f>
        <v>0</v>
      </c>
      <c r="B26" s="12" t="s">
        <v>2</v>
      </c>
    </row>
    <row r="27" spans="1:7" ht="32" customHeight="1" x14ac:dyDescent="0.2">
      <c r="A27" s="38" t="s">
        <v>121</v>
      </c>
      <c r="B27" s="38"/>
      <c r="C27" s="38"/>
      <c r="D27" s="38"/>
      <c r="E27" s="38"/>
      <c r="F27" s="38"/>
      <c r="G27" s="38"/>
    </row>
    <row r="28" spans="1:7" x14ac:dyDescent="0.2">
      <c r="A28" s="6">
        <f>A26</f>
        <v>0</v>
      </c>
      <c r="B28" s="12" t="s">
        <v>2</v>
      </c>
    </row>
    <row r="29" spans="1:7" x14ac:dyDescent="0.2">
      <c r="A29" s="12" t="s">
        <v>15</v>
      </c>
    </row>
    <row r="30" spans="1:7" x14ac:dyDescent="0.2">
      <c r="A30" s="12">
        <v>12.19</v>
      </c>
      <c r="B30" s="12" t="s">
        <v>93</v>
      </c>
    </row>
    <row r="31" spans="1:7" s="1" customFormat="1" x14ac:dyDescent="0.2">
      <c r="A31" s="1" t="s">
        <v>105</v>
      </c>
    </row>
    <row r="32" spans="1:7" s="1" customFormat="1" x14ac:dyDescent="0.2">
      <c r="A32" s="19">
        <f>A28*A30/100</f>
        <v>0</v>
      </c>
      <c r="D32" s="4"/>
    </row>
    <row r="34" spans="1:8" x14ac:dyDescent="0.2">
      <c r="A34" s="22" t="s">
        <v>94</v>
      </c>
    </row>
    <row r="35" spans="1:8" ht="49" customHeight="1" x14ac:dyDescent="0.2">
      <c r="A35" s="39" t="s">
        <v>1</v>
      </c>
      <c r="B35" s="39"/>
      <c r="C35" s="39"/>
      <c r="D35" s="39"/>
      <c r="E35" s="39"/>
      <c r="F35" s="39"/>
      <c r="G35" s="39"/>
      <c r="H35" s="39"/>
    </row>
    <row r="36" spans="1:8" x14ac:dyDescent="0.2">
      <c r="A36" s="6"/>
      <c r="B36" s="12" t="s">
        <v>45</v>
      </c>
    </row>
    <row r="37" spans="1:8" x14ac:dyDescent="0.2">
      <c r="A37" s="12" t="s">
        <v>3</v>
      </c>
    </row>
    <row r="38" spans="1:8" x14ac:dyDescent="0.2">
      <c r="A38" s="3">
        <v>60</v>
      </c>
      <c r="B38" s="12" t="s">
        <v>0</v>
      </c>
    </row>
    <row r="39" spans="1:8" x14ac:dyDescent="0.2">
      <c r="A39" s="12" t="s">
        <v>4</v>
      </c>
    </row>
    <row r="40" spans="1:8" x14ac:dyDescent="0.2">
      <c r="A40" s="3">
        <f>MAX(B19,(IF(A38=0,0,A36/A38)))</f>
        <v>0</v>
      </c>
      <c r="B40" s="12" t="s">
        <v>2</v>
      </c>
    </row>
    <row r="41" spans="1:8" x14ac:dyDescent="0.2">
      <c r="A41" s="12" t="s">
        <v>15</v>
      </c>
    </row>
    <row r="42" spans="1:8" x14ac:dyDescent="0.2">
      <c r="A42" s="12">
        <v>11.48</v>
      </c>
      <c r="B42" s="12" t="s">
        <v>17</v>
      </c>
    </row>
    <row r="43" spans="1:8" s="1" customFormat="1" x14ac:dyDescent="0.2">
      <c r="A43" s="1" t="s">
        <v>107</v>
      </c>
    </row>
    <row r="44" spans="1:8" s="1" customFormat="1" x14ac:dyDescent="0.2">
      <c r="A44" s="19">
        <f>A40*A42/100</f>
        <v>0</v>
      </c>
    </row>
    <row r="46" spans="1:8" x14ac:dyDescent="0.2">
      <c r="A46" s="22" t="s">
        <v>95</v>
      </c>
    </row>
    <row r="47" spans="1:8" x14ac:dyDescent="0.2">
      <c r="A47" s="12" t="s">
        <v>44</v>
      </c>
    </row>
    <row r="48" spans="1:8" x14ac:dyDescent="0.2">
      <c r="A48" s="6"/>
      <c r="B48" s="12" t="s">
        <v>5</v>
      </c>
    </row>
    <row r="49" spans="1:7" x14ac:dyDescent="0.2">
      <c r="A49" s="12" t="s">
        <v>8</v>
      </c>
    </row>
    <row r="50" spans="1:7" x14ac:dyDescent="0.2">
      <c r="A50" s="7">
        <v>43.1</v>
      </c>
      <c r="B50" s="12" t="s">
        <v>9</v>
      </c>
      <c r="D50" s="12" t="s">
        <v>10</v>
      </c>
    </row>
    <row r="51" spans="1:7" x14ac:dyDescent="0.2">
      <c r="A51" s="12" t="s">
        <v>11</v>
      </c>
    </row>
    <row r="52" spans="1:7" x14ac:dyDescent="0.2">
      <c r="A52" s="3">
        <f>A48*A50/1000</f>
        <v>0</v>
      </c>
      <c r="B52" s="12" t="s">
        <v>12</v>
      </c>
    </row>
    <row r="53" spans="1:7" x14ac:dyDescent="0.2">
      <c r="A53" s="12" t="s">
        <v>113</v>
      </c>
    </row>
    <row r="54" spans="1:7" x14ac:dyDescent="0.2">
      <c r="A54" s="3">
        <f>A52*10/1.1037</f>
        <v>0</v>
      </c>
      <c r="B54" s="12" t="s">
        <v>7</v>
      </c>
      <c r="D54" s="12" t="s">
        <v>13</v>
      </c>
    </row>
    <row r="55" spans="1:7" x14ac:dyDescent="0.2">
      <c r="A55" s="12" t="s">
        <v>122</v>
      </c>
    </row>
    <row r="56" spans="1:7" x14ac:dyDescent="0.2">
      <c r="A56" s="10">
        <v>9.0500000000000007</v>
      </c>
      <c r="B56" s="12" t="s">
        <v>114</v>
      </c>
      <c r="D56" s="12" t="s">
        <v>25</v>
      </c>
    </row>
    <row r="57" spans="1:7" x14ac:dyDescent="0.2">
      <c r="A57" s="12" t="s">
        <v>26</v>
      </c>
    </row>
    <row r="58" spans="1:7" x14ac:dyDescent="0.2">
      <c r="A58" s="15">
        <f>A54*A56/10</f>
        <v>0</v>
      </c>
      <c r="B58" s="12" t="s">
        <v>126</v>
      </c>
    </row>
    <row r="59" spans="1:7" ht="97" customHeight="1" x14ac:dyDescent="0.2">
      <c r="A59" s="38" t="s">
        <v>123</v>
      </c>
      <c r="B59" s="38"/>
      <c r="C59" s="38"/>
      <c r="D59" s="38"/>
      <c r="E59" s="38"/>
      <c r="F59" s="38"/>
      <c r="G59" s="38"/>
    </row>
    <row r="60" spans="1:7" x14ac:dyDescent="0.2">
      <c r="A60" s="6">
        <f>A54</f>
        <v>0</v>
      </c>
      <c r="B60" s="12" t="s">
        <v>7</v>
      </c>
    </row>
    <row r="61" spans="1:7" x14ac:dyDescent="0.2">
      <c r="A61" s="9">
        <f>A58</f>
        <v>0</v>
      </c>
      <c r="B61" s="12" t="s">
        <v>126</v>
      </c>
    </row>
    <row r="62" spans="1:7" x14ac:dyDescent="0.2">
      <c r="A62" s="5" t="s">
        <v>15</v>
      </c>
    </row>
    <row r="63" spans="1:7" x14ac:dyDescent="0.2">
      <c r="A63" s="12">
        <v>6.3739999999999997</v>
      </c>
      <c r="B63" s="12" t="s">
        <v>6</v>
      </c>
    </row>
    <row r="64" spans="1:7" x14ac:dyDescent="0.2">
      <c r="A64" s="12" t="s">
        <v>108</v>
      </c>
    </row>
    <row r="65" spans="1:7" x14ac:dyDescent="0.2">
      <c r="A65" s="37">
        <f>A60*A63/100</f>
        <v>0</v>
      </c>
    </row>
    <row r="66" spans="1:7" x14ac:dyDescent="0.2">
      <c r="A66" s="12" t="s">
        <v>111</v>
      </c>
    </row>
    <row r="67" spans="1:7" x14ac:dyDescent="0.2">
      <c r="A67" s="32">
        <v>0.02</v>
      </c>
    </row>
    <row r="68" spans="1:7" x14ac:dyDescent="0.2">
      <c r="A68" s="12" t="s">
        <v>46</v>
      </c>
    </row>
    <row r="69" spans="1:7" x14ac:dyDescent="0.2">
      <c r="A69" s="37">
        <f>A67*A61/(1+A67)</f>
        <v>0</v>
      </c>
    </row>
    <row r="70" spans="1:7" s="1" customFormat="1" x14ac:dyDescent="0.2">
      <c r="A70" s="19" t="s">
        <v>124</v>
      </c>
    </row>
    <row r="71" spans="1:7" s="1" customFormat="1" x14ac:dyDescent="0.2">
      <c r="A71" s="19">
        <f>A65-A69</f>
        <v>0</v>
      </c>
    </row>
    <row r="73" spans="1:7" x14ac:dyDescent="0.2">
      <c r="A73" s="22" t="s">
        <v>96</v>
      </c>
    </row>
    <row r="74" spans="1:7" x14ac:dyDescent="0.2">
      <c r="A74" s="12" t="s">
        <v>18</v>
      </c>
    </row>
    <row r="75" spans="1:7" x14ac:dyDescent="0.2">
      <c r="A75" s="3">
        <f>A48*8+IF(A48&gt;1000,8000-A48*8+(SQRT(A48-1000))*150,0)</f>
        <v>0</v>
      </c>
      <c r="B75" s="12" t="s">
        <v>100</v>
      </c>
      <c r="C75" s="12" t="s">
        <v>22</v>
      </c>
      <c r="E75" s="12" t="s">
        <v>19</v>
      </c>
    </row>
    <row r="76" spans="1:7" x14ac:dyDescent="0.2">
      <c r="A76" s="12" t="s">
        <v>122</v>
      </c>
    </row>
    <row r="77" spans="1:7" x14ac:dyDescent="0.2">
      <c r="A77" s="11">
        <v>10.95</v>
      </c>
      <c r="B77" s="12" t="s">
        <v>102</v>
      </c>
      <c r="E77" s="12" t="s">
        <v>103</v>
      </c>
    </row>
    <row r="78" spans="1:7" x14ac:dyDescent="0.2">
      <c r="A78" s="12" t="s">
        <v>26</v>
      </c>
    </row>
    <row r="79" spans="1:7" x14ac:dyDescent="0.2">
      <c r="A79" s="15">
        <f>A75*A77/100</f>
        <v>0</v>
      </c>
      <c r="B79" s="12" t="s">
        <v>126</v>
      </c>
    </row>
    <row r="80" spans="1:7" ht="66" customHeight="1" x14ac:dyDescent="0.2">
      <c r="A80" s="38" t="s">
        <v>125</v>
      </c>
      <c r="B80" s="38"/>
      <c r="C80" s="38"/>
      <c r="D80" s="38"/>
      <c r="E80" s="38"/>
      <c r="F80" s="38"/>
      <c r="G80" s="38"/>
    </row>
    <row r="81" spans="1:5" x14ac:dyDescent="0.2">
      <c r="A81" s="6">
        <f>A75</f>
        <v>0</v>
      </c>
      <c r="B81" s="12" t="s">
        <v>100</v>
      </c>
    </row>
    <row r="82" spans="1:5" x14ac:dyDescent="0.2">
      <c r="A82" s="9">
        <f>A79</f>
        <v>0</v>
      </c>
      <c r="B82" s="12" t="s">
        <v>126</v>
      </c>
    </row>
    <row r="83" spans="1:5" x14ac:dyDescent="0.2">
      <c r="A83" s="12" t="s">
        <v>101</v>
      </c>
      <c r="E83" s="12" t="s">
        <v>20</v>
      </c>
    </row>
    <row r="84" spans="1:5" x14ac:dyDescent="0.2">
      <c r="A84" s="12">
        <v>0.9</v>
      </c>
      <c r="B84" s="12" t="s">
        <v>102</v>
      </c>
      <c r="E84" s="12" t="s">
        <v>21</v>
      </c>
    </row>
    <row r="85" spans="1:5" x14ac:dyDescent="0.2">
      <c r="A85" s="12" t="s">
        <v>109</v>
      </c>
      <c r="B85" s="1"/>
      <c r="C85" s="1"/>
      <c r="E85" s="12" t="s">
        <v>23</v>
      </c>
    </row>
    <row r="86" spans="1:5" x14ac:dyDescent="0.2">
      <c r="A86" s="37">
        <f>A81*A84/100</f>
        <v>0</v>
      </c>
      <c r="C86" s="1"/>
      <c r="E86" s="12" t="s">
        <v>24</v>
      </c>
    </row>
    <row r="87" spans="1:5" x14ac:dyDescent="0.2">
      <c r="A87" s="12" t="s">
        <v>111</v>
      </c>
    </row>
    <row r="88" spans="1:5" x14ac:dyDescent="0.2">
      <c r="A88" s="32">
        <v>0.02</v>
      </c>
    </row>
    <row r="89" spans="1:5" x14ac:dyDescent="0.2">
      <c r="A89" s="12" t="s">
        <v>46</v>
      </c>
    </row>
    <row r="90" spans="1:5" x14ac:dyDescent="0.2">
      <c r="A90" s="37">
        <f>A88*A82/(1+A88)</f>
        <v>0</v>
      </c>
    </row>
    <row r="91" spans="1:5" s="1" customFormat="1" x14ac:dyDescent="0.2">
      <c r="A91" s="19" t="s">
        <v>127</v>
      </c>
    </row>
    <row r="92" spans="1:5" s="1" customFormat="1" x14ac:dyDescent="0.2">
      <c r="A92" s="19">
        <f>A86-A90</f>
        <v>0</v>
      </c>
    </row>
    <row r="94" spans="1:5" x14ac:dyDescent="0.2">
      <c r="A94" s="26" t="s">
        <v>69</v>
      </c>
      <c r="B94" s="24"/>
      <c r="C94" s="18"/>
      <c r="D94" s="24"/>
    </row>
    <row r="95" spans="1:5" s="1" customFormat="1" x14ac:dyDescent="0.2">
      <c r="A95" s="20">
        <f>SUM(A96:A100)</f>
        <v>0</v>
      </c>
      <c r="B95" s="4" t="s">
        <v>86</v>
      </c>
    </row>
    <row r="96" spans="1:5" x14ac:dyDescent="0.2">
      <c r="A96" s="21">
        <f>A18</f>
        <v>0</v>
      </c>
      <c r="B96" s="2" t="s">
        <v>70</v>
      </c>
      <c r="C96" s="1"/>
    </row>
    <row r="97" spans="1:13" x14ac:dyDescent="0.2">
      <c r="A97" s="21">
        <f>A32</f>
        <v>0</v>
      </c>
      <c r="B97" s="2" t="s">
        <v>97</v>
      </c>
      <c r="C97" s="1"/>
    </row>
    <row r="98" spans="1:13" x14ac:dyDescent="0.2">
      <c r="A98" s="21">
        <f>A44</f>
        <v>0</v>
      </c>
      <c r="B98" s="2" t="s">
        <v>71</v>
      </c>
      <c r="C98" s="1"/>
    </row>
    <row r="99" spans="1:13" x14ac:dyDescent="0.2">
      <c r="A99" s="21">
        <f>A71</f>
        <v>0</v>
      </c>
      <c r="B99" s="2" t="s">
        <v>72</v>
      </c>
      <c r="C99" s="1"/>
    </row>
    <row r="100" spans="1:13" x14ac:dyDescent="0.2">
      <c r="A100" s="21">
        <f>A92</f>
        <v>0</v>
      </c>
      <c r="B100" s="2" t="s">
        <v>73</v>
      </c>
    </row>
    <row r="101" spans="1:13" x14ac:dyDescent="0.2">
      <c r="A101" s="4"/>
    </row>
    <row r="102" spans="1:13" x14ac:dyDescent="0.2">
      <c r="A102" s="4"/>
    </row>
    <row r="103" spans="1:13" x14ac:dyDescent="0.2">
      <c r="A103" s="22" t="s">
        <v>98</v>
      </c>
    </row>
    <row r="104" spans="1:13" x14ac:dyDescent="0.2">
      <c r="A104" s="12" t="s">
        <v>51</v>
      </c>
    </row>
    <row r="105" spans="1:13" x14ac:dyDescent="0.2">
      <c r="A105" s="27"/>
      <c r="B105" s="12" t="s">
        <v>128</v>
      </c>
      <c r="C105" s="24" t="s">
        <v>35</v>
      </c>
      <c r="D105" s="24">
        <v>1</v>
      </c>
      <c r="E105" s="24">
        <v>2</v>
      </c>
      <c r="F105" s="24">
        <v>3</v>
      </c>
      <c r="G105" s="24">
        <v>4</v>
      </c>
      <c r="H105" s="28" t="s">
        <v>53</v>
      </c>
    </row>
    <row r="106" spans="1:13" x14ac:dyDescent="0.2">
      <c r="C106" s="24" t="s">
        <v>89</v>
      </c>
      <c r="D106" s="24"/>
      <c r="E106" s="24"/>
      <c r="F106" s="24"/>
      <c r="G106" s="24"/>
      <c r="H106" s="28"/>
    </row>
    <row r="107" spans="1:13" x14ac:dyDescent="0.2">
      <c r="B107" s="12" t="s">
        <v>56</v>
      </c>
      <c r="D107" s="15">
        <v>35889</v>
      </c>
      <c r="E107" s="15">
        <v>81237</v>
      </c>
      <c r="F107" s="15">
        <v>91836</v>
      </c>
      <c r="G107" s="15">
        <v>105088</v>
      </c>
      <c r="H107" s="16">
        <v>89585</v>
      </c>
      <c r="J107" s="12" t="s">
        <v>55</v>
      </c>
    </row>
    <row r="108" spans="1:13" x14ac:dyDescent="0.2">
      <c r="B108" s="12" t="s">
        <v>61</v>
      </c>
      <c r="D108" s="15">
        <v>2323</v>
      </c>
      <c r="E108" s="15">
        <v>4417</v>
      </c>
      <c r="F108" s="15">
        <v>5126</v>
      </c>
      <c r="G108" s="15">
        <v>6194</v>
      </c>
      <c r="H108" s="16">
        <v>6738</v>
      </c>
      <c r="J108" s="12" t="s">
        <v>55</v>
      </c>
    </row>
    <row r="109" spans="1:13" x14ac:dyDescent="0.2">
      <c r="A109" s="12" t="s">
        <v>52</v>
      </c>
    </row>
    <row r="110" spans="1:13" x14ac:dyDescent="0.2">
      <c r="A110" s="9"/>
    </row>
    <row r="111" spans="1:13" x14ac:dyDescent="0.2">
      <c r="B111" s="12" t="s">
        <v>57</v>
      </c>
      <c r="D111" s="29">
        <v>1</v>
      </c>
      <c r="E111" s="29">
        <v>2</v>
      </c>
      <c r="F111" s="29">
        <v>3</v>
      </c>
      <c r="G111" s="29">
        <v>4</v>
      </c>
      <c r="H111" s="29">
        <v>5</v>
      </c>
      <c r="I111" s="29">
        <v>6</v>
      </c>
      <c r="J111" s="29">
        <v>7</v>
      </c>
      <c r="K111" s="29">
        <v>8</v>
      </c>
      <c r="L111" s="29">
        <v>9</v>
      </c>
      <c r="M111" s="29">
        <v>10</v>
      </c>
    </row>
    <row r="112" spans="1:13" x14ac:dyDescent="0.2">
      <c r="B112" s="12" t="s">
        <v>58</v>
      </c>
      <c r="D112" s="15"/>
      <c r="E112" s="15">
        <v>12265</v>
      </c>
      <c r="F112" s="15">
        <v>20739</v>
      </c>
      <c r="G112" s="15">
        <v>29648</v>
      </c>
      <c r="H112" s="15">
        <v>39609</v>
      </c>
      <c r="I112" s="15">
        <v>51802</v>
      </c>
      <c r="J112" s="15">
        <v>66898</v>
      </c>
      <c r="K112" s="15">
        <v>85301</v>
      </c>
      <c r="L112" s="15">
        <v>109743</v>
      </c>
      <c r="M112" s="15">
        <v>155556</v>
      </c>
    </row>
    <row r="113" spans="1:13" x14ac:dyDescent="0.2">
      <c r="B113" s="12" t="s">
        <v>59</v>
      </c>
      <c r="D113" s="15">
        <v>6059</v>
      </c>
      <c r="E113" s="15">
        <v>16726</v>
      </c>
      <c r="F113" s="15">
        <v>25189</v>
      </c>
      <c r="G113" s="15">
        <v>34459</v>
      </c>
      <c r="H113" s="15">
        <v>45559</v>
      </c>
      <c r="I113" s="15">
        <v>59299</v>
      </c>
      <c r="J113" s="15">
        <v>75995</v>
      </c>
      <c r="K113" s="15">
        <v>96696</v>
      </c>
      <c r="L113" s="15">
        <v>129006</v>
      </c>
      <c r="M113" s="15">
        <v>247174</v>
      </c>
    </row>
    <row r="114" spans="1:13" x14ac:dyDescent="0.2">
      <c r="B114" s="12" t="s">
        <v>60</v>
      </c>
      <c r="D114" s="12">
        <v>1.6</v>
      </c>
      <c r="E114" s="12">
        <v>1.7</v>
      </c>
      <c r="F114" s="12">
        <v>2.1</v>
      </c>
      <c r="G114" s="12">
        <v>2.2999999999999998</v>
      </c>
      <c r="H114" s="12">
        <v>2.4</v>
      </c>
      <c r="I114" s="12">
        <v>2.6</v>
      </c>
      <c r="J114" s="12">
        <v>2.8</v>
      </c>
      <c r="K114" s="12">
        <v>3</v>
      </c>
      <c r="L114" s="12">
        <v>3.1</v>
      </c>
      <c r="M114" s="12">
        <v>3.1</v>
      </c>
    </row>
    <row r="115" spans="1:13" x14ac:dyDescent="0.2">
      <c r="B115" s="12" t="s">
        <v>61</v>
      </c>
      <c r="D115" s="15">
        <v>2449</v>
      </c>
      <c r="E115" s="15">
        <v>2715</v>
      </c>
      <c r="F115" s="15">
        <v>3548</v>
      </c>
      <c r="G115" s="15">
        <v>3696</v>
      </c>
      <c r="H115" s="15">
        <v>3907</v>
      </c>
      <c r="I115" s="15">
        <v>4169</v>
      </c>
      <c r="J115" s="15">
        <v>4501</v>
      </c>
      <c r="K115" s="15">
        <v>5285</v>
      </c>
      <c r="L115" s="15">
        <v>6195</v>
      </c>
      <c r="M115" s="15">
        <v>7157</v>
      </c>
    </row>
    <row r="116" spans="1:13" x14ac:dyDescent="0.2">
      <c r="B116" s="12" t="s">
        <v>65</v>
      </c>
      <c r="D116" s="14">
        <f t="shared" ref="D116:L116" si="0">(E115-D115)/(E113-D113)</f>
        <v>2.4936720727477265E-2</v>
      </c>
      <c r="E116" s="14">
        <f t="shared" si="0"/>
        <v>9.8428453267162944E-2</v>
      </c>
      <c r="F116" s="14">
        <f t="shared" si="0"/>
        <v>1.5965480043149946E-2</v>
      </c>
      <c r="G116" s="14">
        <f t="shared" si="0"/>
        <v>1.9009009009009009E-2</v>
      </c>
      <c r="H116" s="14">
        <f t="shared" si="0"/>
        <v>1.9068413391557498E-2</v>
      </c>
      <c r="I116" s="14">
        <f t="shared" si="0"/>
        <v>1.9885002395783422E-2</v>
      </c>
      <c r="J116" s="14">
        <f t="shared" si="0"/>
        <v>3.7872566542679099E-2</v>
      </c>
      <c r="K116" s="14">
        <f t="shared" si="0"/>
        <v>2.816465490560198E-2</v>
      </c>
      <c r="L116" s="14">
        <f t="shared" si="0"/>
        <v>8.1409518651411553E-3</v>
      </c>
      <c r="M116" s="14"/>
    </row>
    <row r="117" spans="1:13" x14ac:dyDescent="0.2">
      <c r="B117" s="12" t="s">
        <v>66</v>
      </c>
      <c r="D117" s="17">
        <f t="shared" ref="D117:L117" si="1">(E114-D114)/(E113-D113)</f>
        <v>9.3747070404049753E-6</v>
      </c>
      <c r="E117" s="17">
        <f t="shared" si="1"/>
        <v>4.7264563393595665E-5</v>
      </c>
      <c r="F117" s="17">
        <f t="shared" si="1"/>
        <v>2.1574973031283683E-5</v>
      </c>
      <c r="G117" s="17">
        <f t="shared" si="1"/>
        <v>9.0090090090090163E-6</v>
      </c>
      <c r="H117" s="17">
        <f t="shared" si="1"/>
        <v>1.4556040756914132E-5</v>
      </c>
      <c r="I117" s="17">
        <f t="shared" si="1"/>
        <v>1.1978917105893611E-5</v>
      </c>
      <c r="J117" s="17">
        <f t="shared" si="1"/>
        <v>9.6613690159895737E-6</v>
      </c>
      <c r="K117" s="17">
        <f t="shared" si="1"/>
        <v>3.0950170225936271E-6</v>
      </c>
      <c r="L117" s="17">
        <f t="shared" si="1"/>
        <v>0</v>
      </c>
      <c r="M117" s="14"/>
    </row>
    <row r="118" spans="1:13" x14ac:dyDescent="0.2">
      <c r="A118" s="12" t="s">
        <v>63</v>
      </c>
    </row>
    <row r="119" spans="1:13" x14ac:dyDescent="0.2">
      <c r="A119" s="19" t="str">
        <f>IF(A105=D105,D108,IF(A105=E105,E108,IF(A105=F105,F108,IF(A105=G105,G108,(IF(A105=H105,H108,"**Not a valid choice for household size**"))))))</f>
        <v>**Not a valid choice for household size**</v>
      </c>
    </row>
    <row r="120" spans="1:13" x14ac:dyDescent="0.2">
      <c r="A120" s="12" t="s">
        <v>54</v>
      </c>
    </row>
    <row r="121" spans="1:13" x14ac:dyDescent="0.2">
      <c r="A121" s="15" t="str">
        <f>IF(A105=D105,D107,IF(A105=E105,E107,IF(A105=F105,F107,IF(A105=G105,G107,IF(A105=H105,H107,"**Not a valid choice for household size**")))))</f>
        <v>**Not a valid choice for household size**</v>
      </c>
    </row>
    <row r="122" spans="1:13" ht="16" customHeight="1" x14ac:dyDescent="0.2">
      <c r="A122" s="39" t="s">
        <v>62</v>
      </c>
      <c r="B122" s="39"/>
      <c r="C122" s="39"/>
      <c r="D122" s="39"/>
      <c r="E122" s="39"/>
      <c r="F122" s="39"/>
      <c r="G122" s="39"/>
    </row>
    <row r="123" spans="1:13" x14ac:dyDescent="0.2">
      <c r="A123" s="15" t="s">
        <v>64</v>
      </c>
    </row>
    <row r="124" spans="1:13" x14ac:dyDescent="0.2">
      <c r="A124" s="19" t="str">
        <f>IF(A110="","**Not a valid choice for household income**",IF(A110&lt;D113,D115,IF(A110&lt;E113,D115+D116*(A110-D113),IF(A110&lt;F113,E115+E116*(A110-E113),IF(A110&lt;G113,F115+F116*(A110-F113),IF(A110&lt;H113,G115+G116*(A110-G113),IF(A110&lt;I113,H115+H116*(A110-H113),IF(A110&lt;J113,I115+I116*(A110-I113),IF(A110&lt;K113,J115+J116*(A110-J113),IF(A110&lt;L113,K115+K116*(A110-K113),IF(A110&lt;M113,L115+L116*(A110-L113),M115+L116*(A110-M113))))))))))))</f>
        <v>**Not a valid choice for household income**</v>
      </c>
    </row>
    <row r="125" spans="1:13" x14ac:dyDescent="0.2">
      <c r="A125" s="12" t="s">
        <v>67</v>
      </c>
    </row>
    <row r="126" spans="1:13" x14ac:dyDescent="0.2">
      <c r="A126" s="30" t="str">
        <f>IF(A110="","**Not a valid choice for household income**",IF(A110&lt;D113,D114,IF(A110&lt;E113,D114+D117*(A110-D113),IF(A110&lt;F113,E114+E117*(A110-E113),IF(A110&lt;G113,F114+F117*(A110-F113),IF(A110&lt;H113,G114+G117*(A110-G113),IF(A110&lt;I113,H114+H117*(A110-H113),IF(A110&lt;J113,I114+I117*(A110-I113),IF(A110&lt;K113,J114+J117*(A110-J113),IF(A110&lt;L113,K114+K117*(A110-K113),IF(A110&lt;M113,L114+L117*(A110-L113),M114)))))))))))</f>
        <v>**Not a valid choice for household income**</v>
      </c>
    </row>
    <row r="127" spans="1:13" ht="16" customHeight="1" x14ac:dyDescent="0.2">
      <c r="A127" s="39" t="s">
        <v>62</v>
      </c>
      <c r="B127" s="39"/>
      <c r="C127" s="39"/>
      <c r="D127" s="39"/>
      <c r="E127" s="39"/>
      <c r="F127" s="39"/>
      <c r="G127" s="39"/>
    </row>
    <row r="128" spans="1:13" ht="50" customHeight="1" x14ac:dyDescent="0.2">
      <c r="A128" s="38" t="s">
        <v>88</v>
      </c>
      <c r="B128" s="38"/>
      <c r="C128" s="38"/>
      <c r="D128" s="38"/>
      <c r="E128" s="38"/>
      <c r="F128" s="38"/>
      <c r="G128" s="38"/>
    </row>
    <row r="129" spans="1:8" x14ac:dyDescent="0.2">
      <c r="A129" s="12" t="s">
        <v>115</v>
      </c>
    </row>
    <row r="130" spans="1:8" x14ac:dyDescent="0.2">
      <c r="A130" s="31">
        <f>IF(ISNUMBER(AVERAGE(A119,A124)),AVERAGE(A119,A124),0)</f>
        <v>0</v>
      </c>
    </row>
    <row r="131" spans="1:8" x14ac:dyDescent="0.2">
      <c r="A131" s="12" t="s">
        <v>110</v>
      </c>
    </row>
    <row r="132" spans="1:8" x14ac:dyDescent="0.2">
      <c r="A132" s="32">
        <v>1.7500000000000002E-2</v>
      </c>
    </row>
    <row r="133" spans="1:8" s="1" customFormat="1" x14ac:dyDescent="0.2">
      <c r="A133" s="1" t="s">
        <v>46</v>
      </c>
    </row>
    <row r="134" spans="1:8" s="1" customFormat="1" x14ac:dyDescent="0.2">
      <c r="A134" s="19">
        <f>A132*A130/(1+A132)</f>
        <v>0</v>
      </c>
    </row>
    <row r="136" spans="1:8" x14ac:dyDescent="0.2">
      <c r="A136" s="22" t="s">
        <v>131</v>
      </c>
    </row>
    <row r="137" spans="1:8" ht="16" customHeight="1" x14ac:dyDescent="0.2">
      <c r="A137" s="38" t="s">
        <v>74</v>
      </c>
      <c r="B137" s="38"/>
      <c r="C137" s="38"/>
      <c r="D137" s="38"/>
      <c r="E137" s="38"/>
      <c r="F137" s="38"/>
      <c r="G137" s="38"/>
      <c r="H137" s="38"/>
    </row>
    <row r="138" spans="1:8" ht="51" customHeight="1" x14ac:dyDescent="0.2">
      <c r="A138" s="39" t="s">
        <v>48</v>
      </c>
      <c r="B138" s="39"/>
      <c r="C138" s="39"/>
      <c r="D138" s="39"/>
      <c r="E138" s="39"/>
      <c r="F138" s="39"/>
      <c r="G138" s="39"/>
      <c r="H138" s="39"/>
    </row>
    <row r="139" spans="1:8" x14ac:dyDescent="0.2">
      <c r="C139" s="29" t="s">
        <v>32</v>
      </c>
      <c r="D139" s="29" t="s">
        <v>29</v>
      </c>
      <c r="E139" s="29" t="s">
        <v>30</v>
      </c>
      <c r="F139" s="29" t="s">
        <v>31</v>
      </c>
      <c r="H139" s="12" t="s">
        <v>33</v>
      </c>
    </row>
    <row r="140" spans="1:8" x14ac:dyDescent="0.2">
      <c r="A140" s="12" t="s">
        <v>27</v>
      </c>
      <c r="C140" s="21">
        <v>21370</v>
      </c>
      <c r="D140" s="21">
        <v>46884</v>
      </c>
      <c r="E140" s="21">
        <v>52493</v>
      </c>
      <c r="F140" s="21">
        <v>55952</v>
      </c>
    </row>
    <row r="141" spans="1:8" x14ac:dyDescent="0.2">
      <c r="A141" s="12" t="s">
        <v>28</v>
      </c>
      <c r="C141" s="21">
        <v>15570</v>
      </c>
      <c r="D141" s="21">
        <v>41094</v>
      </c>
      <c r="E141" s="21">
        <v>46703</v>
      </c>
      <c r="F141" s="21">
        <v>50162</v>
      </c>
    </row>
    <row r="142" spans="1:8" x14ac:dyDescent="0.2">
      <c r="C142" s="21"/>
      <c r="D142" s="21"/>
      <c r="E142" s="21"/>
      <c r="F142" s="21"/>
    </row>
    <row r="143" spans="1:8" ht="32" customHeight="1" x14ac:dyDescent="0.2">
      <c r="A143" s="39" t="s">
        <v>47</v>
      </c>
      <c r="B143" s="39"/>
      <c r="C143" s="39"/>
      <c r="D143" s="39"/>
      <c r="E143" s="39"/>
      <c r="F143" s="39"/>
      <c r="G143" s="39"/>
      <c r="H143" s="39"/>
    </row>
    <row r="144" spans="1:8" x14ac:dyDescent="0.2">
      <c r="A144" s="34" t="s">
        <v>77</v>
      </c>
    </row>
    <row r="145" spans="1:8" x14ac:dyDescent="0.2">
      <c r="C145" s="21"/>
      <c r="D145" s="21"/>
      <c r="E145" s="21"/>
      <c r="F145" s="21"/>
    </row>
    <row r="146" spans="1:8" x14ac:dyDescent="0.2">
      <c r="A146" s="12" t="s">
        <v>50</v>
      </c>
    </row>
    <row r="147" spans="1:8" x14ac:dyDescent="0.2">
      <c r="C147" s="29" t="s">
        <v>32</v>
      </c>
      <c r="D147" s="29" t="s">
        <v>29</v>
      </c>
      <c r="E147" s="29" t="s">
        <v>30</v>
      </c>
      <c r="F147" s="29" t="s">
        <v>31</v>
      </c>
      <c r="H147" s="12" t="s">
        <v>33</v>
      </c>
    </row>
    <row r="148" spans="1:8" x14ac:dyDescent="0.2">
      <c r="A148" s="12" t="s">
        <v>49</v>
      </c>
      <c r="C148" s="21">
        <v>529</v>
      </c>
      <c r="D148" s="21">
        <v>3526</v>
      </c>
      <c r="E148" s="21">
        <v>5828</v>
      </c>
      <c r="F148" s="21">
        <v>6557</v>
      </c>
    </row>
    <row r="149" spans="1:8" x14ac:dyDescent="0.2">
      <c r="A149" s="12" t="s">
        <v>91</v>
      </c>
      <c r="C149" s="21">
        <f>C148/10</f>
        <v>52.9</v>
      </c>
      <c r="D149" s="21">
        <f t="shared" ref="D149:F149" si="2">D148/10</f>
        <v>352.6</v>
      </c>
      <c r="E149" s="21">
        <f t="shared" si="2"/>
        <v>582.79999999999995</v>
      </c>
      <c r="F149" s="21">
        <f t="shared" si="2"/>
        <v>655.7</v>
      </c>
    </row>
    <row r="150" spans="1:8" x14ac:dyDescent="0.2">
      <c r="C150" s="21"/>
      <c r="D150" s="21"/>
      <c r="E150" s="21"/>
      <c r="F150" s="21"/>
    </row>
    <row r="151" spans="1:8" ht="32" customHeight="1" x14ac:dyDescent="0.2">
      <c r="A151" s="38" t="s">
        <v>76</v>
      </c>
      <c r="B151" s="38"/>
      <c r="C151" s="38"/>
      <c r="D151" s="38"/>
      <c r="E151" s="38"/>
      <c r="F151" s="38"/>
      <c r="G151" s="38"/>
      <c r="H151" s="38"/>
    </row>
    <row r="152" spans="1:8" x14ac:dyDescent="0.2">
      <c r="A152" s="12" t="s">
        <v>75</v>
      </c>
    </row>
    <row r="153" spans="1:8" x14ac:dyDescent="0.2">
      <c r="A153" s="9"/>
    </row>
    <row r="154" spans="1:8" x14ac:dyDescent="0.2">
      <c r="A154" s="1" t="s">
        <v>116</v>
      </c>
      <c r="B154" s="1"/>
    </row>
    <row r="155" spans="1:8" x14ac:dyDescent="0.2">
      <c r="A155" s="20">
        <f>A153*0.2</f>
        <v>0</v>
      </c>
    </row>
    <row r="157" spans="1:8" x14ac:dyDescent="0.2">
      <c r="A157" s="22" t="s">
        <v>132</v>
      </c>
    </row>
    <row r="158" spans="1:8" ht="47" customHeight="1" x14ac:dyDescent="0.2">
      <c r="A158" s="38" t="s">
        <v>79</v>
      </c>
      <c r="B158" s="38"/>
      <c r="C158" s="38"/>
      <c r="D158" s="38"/>
      <c r="E158" s="38"/>
      <c r="F158" s="38"/>
      <c r="G158" s="38"/>
      <c r="H158" s="38"/>
    </row>
    <row r="159" spans="1:8" x14ac:dyDescent="0.2">
      <c r="A159" s="12" t="s">
        <v>78</v>
      </c>
    </row>
    <row r="160" spans="1:8" x14ac:dyDescent="0.2">
      <c r="A160" s="6"/>
      <c r="B160" s="24" t="s">
        <v>35</v>
      </c>
      <c r="C160" s="24">
        <v>0</v>
      </c>
      <c r="D160" s="24">
        <v>1</v>
      </c>
      <c r="E160" s="24">
        <v>2</v>
      </c>
    </row>
    <row r="161" spans="1:8" x14ac:dyDescent="0.2">
      <c r="A161" s="12" t="s">
        <v>87</v>
      </c>
    </row>
    <row r="162" spans="1:8" x14ac:dyDescent="0.2">
      <c r="A162" s="6"/>
      <c r="B162" s="24" t="s">
        <v>35</v>
      </c>
      <c r="C162" s="24">
        <v>0</v>
      </c>
      <c r="D162" s="24">
        <v>1</v>
      </c>
      <c r="E162" s="24">
        <v>2</v>
      </c>
    </row>
    <row r="163" spans="1:8" x14ac:dyDescent="0.2">
      <c r="A163" s="12" t="s">
        <v>34</v>
      </c>
    </row>
    <row r="164" spans="1:8" ht="64" customHeight="1" x14ac:dyDescent="0.2">
      <c r="A164" s="35"/>
      <c r="B164" s="36" t="s">
        <v>84</v>
      </c>
      <c r="C164" s="36" t="s">
        <v>39</v>
      </c>
      <c r="D164" s="36" t="s">
        <v>36</v>
      </c>
      <c r="E164" s="36" t="s">
        <v>37</v>
      </c>
      <c r="F164" s="38" t="s">
        <v>112</v>
      </c>
      <c r="G164" s="38"/>
      <c r="H164" s="38"/>
    </row>
    <row r="165" spans="1:8" x14ac:dyDescent="0.2">
      <c r="A165" s="12" t="s">
        <v>38</v>
      </c>
    </row>
    <row r="166" spans="1:8" x14ac:dyDescent="0.2">
      <c r="A166" s="8"/>
    </row>
    <row r="167" spans="1:8" x14ac:dyDescent="0.2">
      <c r="A167" s="12" t="s">
        <v>40</v>
      </c>
    </row>
    <row r="168" spans="1:8" x14ac:dyDescent="0.2">
      <c r="A168" s="15">
        <f>IF(A$164=C$164,C168,IF(A$164=D$164,D168,IF(A$164=E$164,E168,0)))</f>
        <v>0</v>
      </c>
      <c r="B168" s="12" t="s">
        <v>35</v>
      </c>
      <c r="C168" s="15">
        <f>MAX(0,$A$162*450-0.025*(MAX(0,$A$166-32000)))</f>
        <v>0</v>
      </c>
      <c r="D168" s="15">
        <f>MAX(0,$A$162*450-0.025*(MAX(0,$A$166-16000)))</f>
        <v>0</v>
      </c>
      <c r="E168" s="15">
        <f>MAX(0,$A$162*450-0.025*(MAX(0,$A$166-25000)))</f>
        <v>0</v>
      </c>
      <c r="G168" s="2"/>
    </row>
    <row r="169" spans="1:8" x14ac:dyDescent="0.2">
      <c r="A169" s="12" t="s">
        <v>41</v>
      </c>
      <c r="D169" s="15"/>
      <c r="E169" s="15"/>
      <c r="F169" s="15"/>
    </row>
    <row r="170" spans="1:8" x14ac:dyDescent="0.2">
      <c r="A170" s="15">
        <f>IF(A$164=C$164,C170,IF(A$164=D$164,D170,IF(A$164=E$164,E170,0)))</f>
        <v>0</v>
      </c>
      <c r="B170" s="12" t="s">
        <v>35</v>
      </c>
      <c r="C170" s="15">
        <f>MAX(0,$A$160*650-0.025*(MAX(0,$A$166-32000)))</f>
        <v>0</v>
      </c>
      <c r="D170" s="15">
        <f>MAX(0,$A$160*650-0.025*(MAX(0,$A$166-16000)))</f>
        <v>0</v>
      </c>
      <c r="E170" s="15">
        <f>MAX(0,$A$160*650-0.025*(MAX(0,$A$166-25000)))</f>
        <v>0</v>
      </c>
    </row>
    <row r="171" spans="1:8" x14ac:dyDescent="0.2">
      <c r="A171" s="1" t="s">
        <v>42</v>
      </c>
      <c r="B171" s="1"/>
    </row>
    <row r="172" spans="1:8" x14ac:dyDescent="0.2">
      <c r="A172" s="20">
        <f>A170-A168</f>
        <v>0</v>
      </c>
    </row>
    <row r="174" spans="1:8" x14ac:dyDescent="0.2">
      <c r="A174" s="12" t="s">
        <v>80</v>
      </c>
    </row>
    <row r="175" spans="1:8" x14ac:dyDescent="0.2">
      <c r="A175" s="20">
        <f>SUM(A176:A178)</f>
        <v>0</v>
      </c>
      <c r="B175" s="1" t="s">
        <v>85</v>
      </c>
    </row>
    <row r="176" spans="1:8" x14ac:dyDescent="0.2">
      <c r="A176" s="21">
        <f>A134</f>
        <v>0</v>
      </c>
      <c r="B176" s="12" t="s">
        <v>81</v>
      </c>
    </row>
    <row r="177" spans="1:2" x14ac:dyDescent="0.2">
      <c r="A177" s="21">
        <f>A155</f>
        <v>0</v>
      </c>
      <c r="B177" s="12" t="s">
        <v>82</v>
      </c>
    </row>
    <row r="178" spans="1:2" x14ac:dyDescent="0.2">
      <c r="A178" s="21">
        <f>A172</f>
        <v>0</v>
      </c>
      <c r="B178" s="12" t="s">
        <v>83</v>
      </c>
    </row>
    <row r="180" spans="1:2" x14ac:dyDescent="0.2">
      <c r="A180" s="12" t="s">
        <v>130</v>
      </c>
    </row>
    <row r="181" spans="1:2" x14ac:dyDescent="0.2">
      <c r="A181" s="20">
        <f>A95</f>
        <v>0</v>
      </c>
      <c r="B181" s="13" t="str">
        <f>B95</f>
        <v>Total carbon tax payments</v>
      </c>
    </row>
    <row r="182" spans="1:2" x14ac:dyDescent="0.2">
      <c r="A182" s="21">
        <f t="shared" ref="A182:B186" si="3">A96</f>
        <v>0</v>
      </c>
      <c r="B182" s="33" t="str">
        <f>B96</f>
        <v>Gasoline</v>
      </c>
    </row>
    <row r="183" spans="1:2" x14ac:dyDescent="0.2">
      <c r="A183" s="21">
        <f t="shared" si="3"/>
        <v>0</v>
      </c>
      <c r="B183" s="33" t="str">
        <f t="shared" si="3"/>
        <v>On-road diesel</v>
      </c>
    </row>
    <row r="184" spans="1:2" x14ac:dyDescent="0.2">
      <c r="A184" s="21">
        <f t="shared" si="3"/>
        <v>0</v>
      </c>
      <c r="B184" s="33" t="str">
        <f t="shared" si="3"/>
        <v>Jet fuel</v>
      </c>
    </row>
    <row r="185" spans="1:2" x14ac:dyDescent="0.2">
      <c r="A185" s="21">
        <f t="shared" si="3"/>
        <v>0</v>
      </c>
      <c r="B185" s="33" t="str">
        <f t="shared" si="3"/>
        <v>Natural gas</v>
      </c>
    </row>
    <row r="186" spans="1:2" x14ac:dyDescent="0.2">
      <c r="A186" s="21">
        <f t="shared" si="3"/>
        <v>0</v>
      </c>
      <c r="B186" s="33" t="str">
        <f t="shared" si="3"/>
        <v>Electricity</v>
      </c>
    </row>
    <row r="188" spans="1:2" x14ac:dyDescent="0.2">
      <c r="A188" s="22" t="s">
        <v>133</v>
      </c>
    </row>
    <row r="189" spans="1:2" x14ac:dyDescent="0.2">
      <c r="A189" s="20">
        <f>A175-A181</f>
        <v>0</v>
      </c>
      <c r="B189" s="1" t="s">
        <v>129</v>
      </c>
    </row>
  </sheetData>
  <mergeCells count="14">
    <mergeCell ref="A13:G13"/>
    <mergeCell ref="A27:G27"/>
    <mergeCell ref="A59:G59"/>
    <mergeCell ref="A80:G80"/>
    <mergeCell ref="A35:H35"/>
    <mergeCell ref="F164:H164"/>
    <mergeCell ref="A122:G122"/>
    <mergeCell ref="A127:G127"/>
    <mergeCell ref="A128:G128"/>
    <mergeCell ref="A137:H137"/>
    <mergeCell ref="A138:H138"/>
    <mergeCell ref="A143:H143"/>
    <mergeCell ref="A151:H151"/>
    <mergeCell ref="A158:H158"/>
  </mergeCells>
  <hyperlinks>
    <hyperlink ref="A144" r:id="rId1" xr:uid="{7697D1F9-B00A-9E43-981A-C33066B29F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Residential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Yoram Bauman</dc:creator>
  <cp:lastModifiedBy>Yoram Bauman</cp:lastModifiedBy>
  <dcterms:created xsi:type="dcterms:W3CDTF">2019-02-24T12:12:49Z</dcterms:created>
  <dcterms:modified xsi:type="dcterms:W3CDTF">2019-05-20T12:12:42Z</dcterms:modified>
</cp:coreProperties>
</file>